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我的雲端硬碟\媒體圖書館\課程講義原稿\"/>
    </mc:Choice>
  </mc:AlternateContent>
  <bookViews>
    <workbookView xWindow="19095" yWindow="-105" windowWidth="19425" windowHeight="10560" activeTab="1"/>
  </bookViews>
  <sheets>
    <sheet name="1.1-基本資料與量測資料" sheetId="15" r:id="rId1"/>
    <sheet name="1.2-系統量測數據計算" sheetId="16" r:id="rId2"/>
    <sheet name="選單" sheetId="17" r:id="rId3"/>
  </sheets>
  <definedNames>
    <definedName name="_xlnm.Print_Area" localSheetId="0">'1.1-基本資料與量測資料'!$A:$E</definedName>
    <definedName name="_xlnm.Print_Area" localSheetId="1">'1.2-系統量測數據計算'!$A:$D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5" l="1"/>
  <c r="E50" i="15"/>
  <c r="D4" i="16"/>
  <c r="C4" i="16"/>
  <c r="C51" i="15" l="1"/>
  <c r="E47" i="15"/>
  <c r="C47" i="15"/>
  <c r="C26" i="15"/>
  <c r="D3" i="16" l="1"/>
  <c r="C3" i="16"/>
  <c r="C48" i="15"/>
  <c r="E48" i="15" s="1"/>
  <c r="C50" i="15" s="1"/>
  <c r="E51" i="15" s="1"/>
  <c r="C52" i="15" s="1"/>
  <c r="E26" i="15"/>
  <c r="D9" i="16"/>
  <c r="E52" i="15" l="1"/>
  <c r="D5" i="16"/>
  <c r="D7" i="16" s="1"/>
  <c r="D8" i="16" s="1"/>
  <c r="D18" i="16" s="1"/>
  <c r="D13" i="16" l="1"/>
  <c r="C27" i="15"/>
  <c r="E27" i="15" s="1"/>
  <c r="C29" i="15" s="1"/>
  <c r="C30" i="15" s="1"/>
  <c r="C9" i="16"/>
  <c r="E30" i="15" l="1"/>
  <c r="C31" i="15" s="1"/>
  <c r="C5" i="16" s="1"/>
  <c r="C7" i="16" s="1"/>
  <c r="C8" i="16" s="1"/>
  <c r="C18" i="16" s="1"/>
  <c r="D21" i="16"/>
  <c r="C21" i="16"/>
  <c r="C13" i="16" l="1"/>
  <c r="E31" i="15"/>
  <c r="C16" i="16" l="1"/>
  <c r="C6" i="16"/>
  <c r="C10" i="16" l="1"/>
  <c r="C17" i="16"/>
  <c r="C19" i="16" s="1"/>
  <c r="D6" i="16"/>
  <c r="D17" i="16" s="1"/>
  <c r="C22" i="16" l="1"/>
  <c r="C26" i="16" s="1"/>
  <c r="C27" i="16" s="1"/>
  <c r="C28" i="16" s="1"/>
  <c r="C25" i="16" l="1"/>
  <c r="C23" i="16"/>
  <c r="C12" i="16"/>
  <c r="C31" i="16"/>
  <c r="C33" i="16" s="1"/>
  <c r="D10" i="16"/>
  <c r="D19" i="16"/>
  <c r="D22" i="16" s="1"/>
  <c r="D25" i="16" s="1"/>
  <c r="D16" i="16"/>
  <c r="C11" i="16"/>
  <c r="C29" i="16" s="1"/>
  <c r="C35" i="16" l="1"/>
  <c r="D12" i="16"/>
  <c r="D23" i="16"/>
  <c r="D11" i="16"/>
  <c r="D26" i="16"/>
  <c r="D27" i="16" s="1"/>
  <c r="D28" i="16" l="1"/>
  <c r="D29" i="16" s="1"/>
  <c r="D31" i="16"/>
  <c r="D33" i="16" s="1"/>
  <c r="D35" i="16" l="1"/>
</calcChain>
</file>

<file path=xl/sharedStrings.xml><?xml version="1.0" encoding="utf-8"?>
<sst xmlns="http://schemas.openxmlformats.org/spreadsheetml/2006/main" count="162" uniqueCount="128">
  <si>
    <t>量測值</t>
    <phoneticPr fontId="2" type="noConversion"/>
  </si>
  <si>
    <t>流功 kW</t>
    <phoneticPr fontId="2" type="noConversion"/>
  </si>
  <si>
    <t>設備</t>
    <phoneticPr fontId="3" type="noConversion"/>
  </si>
  <si>
    <t>流量 Lpm</t>
    <phoneticPr fontId="2" type="noConversion"/>
  </si>
  <si>
    <t>揚程 m</t>
    <phoneticPr fontId="2" type="noConversion"/>
  </si>
  <si>
    <t>運轉耗電量kW</t>
  </si>
  <si>
    <t>泵入口與冷卻塔盛水盤液面位差m</t>
  </si>
  <si>
    <t>額定轉速rpm</t>
  </si>
  <si>
    <t>馬達效率%</t>
  </si>
  <si>
    <t>泵入口壓力bar</t>
  </si>
  <si>
    <t>泵出口壓力bar</t>
  </si>
  <si>
    <t>出口壓力錶離地板高m</t>
  </si>
  <si>
    <t>額定馬力hp</t>
    <phoneticPr fontId="2" type="noConversion"/>
  </si>
  <si>
    <t>冰水泵數據(一次泵)</t>
    <phoneticPr fontId="2" type="noConversion"/>
  </si>
  <si>
    <t>膨脹水箱位高m</t>
    <phoneticPr fontId="2" type="noConversion"/>
  </si>
  <si>
    <t>額定揚程m</t>
    <phoneticPr fontId="2" type="noConversion"/>
  </si>
  <si>
    <t>馬達效率%</t>
    <phoneticPr fontId="2" type="noConversion"/>
  </si>
  <si>
    <t>泵入口壓力bar</t>
    <phoneticPr fontId="2" type="noConversion"/>
  </si>
  <si>
    <t>入口壓力錶離地板高m</t>
    <phoneticPr fontId="2" type="noConversion"/>
  </si>
  <si>
    <t>額定流量Lpm</t>
    <phoneticPr fontId="2" type="noConversion"/>
  </si>
  <si>
    <t>額定轉速rpm</t>
    <phoneticPr fontId="2" type="noConversion"/>
  </si>
  <si>
    <t>運轉耗電量kW</t>
    <phoneticPr fontId="2" type="noConversion"/>
  </si>
  <si>
    <t>泵出口壓力bar</t>
    <phoneticPr fontId="2" type="noConversion"/>
  </si>
  <si>
    <t>出口壓力錶離地板高m</t>
    <phoneticPr fontId="2" type="noConversion"/>
  </si>
  <si>
    <t>冷卻泵數據</t>
    <phoneticPr fontId="2" type="noConversion"/>
  </si>
  <si>
    <t>XXX</t>
    <phoneticPr fontId="2" type="noConversion"/>
  </si>
  <si>
    <t>額定值</t>
    <phoneticPr fontId="2" type="noConversion"/>
  </si>
  <si>
    <t>計算值</t>
    <phoneticPr fontId="2" type="noConversion"/>
  </si>
  <si>
    <t>泵浦揚程m</t>
    <phoneticPr fontId="2" type="noConversion"/>
  </si>
  <si>
    <t>出口徑mm</t>
    <phoneticPr fontId="2" type="noConversion"/>
  </si>
  <si>
    <t>入口徑mm</t>
    <phoneticPr fontId="2" type="noConversion"/>
  </si>
  <si>
    <t>殷聖節能泵浦</t>
    <phoneticPr fontId="2" type="noConversion"/>
  </si>
  <si>
    <t>一次泵hp</t>
    <phoneticPr fontId="2" type="noConversion"/>
  </si>
  <si>
    <t>冷卻泵hp</t>
    <phoneticPr fontId="3" type="noConversion"/>
  </si>
  <si>
    <t>流量Lpm</t>
    <phoneticPr fontId="2" type="noConversion"/>
  </si>
  <si>
    <t>閉迴路靜位差m</t>
    <phoneticPr fontId="2" type="noConversion"/>
  </si>
  <si>
    <t>XXXXXXX</t>
    <phoneticPr fontId="2" type="noConversion"/>
  </si>
  <si>
    <t>管路用途</t>
    <phoneticPr fontId="2" type="noConversion"/>
  </si>
  <si>
    <t>設備冷卻</t>
    <phoneticPr fontId="2" type="noConversion"/>
  </si>
  <si>
    <t>管路型式</t>
    <phoneticPr fontId="2" type="noConversion"/>
  </si>
  <si>
    <t>系統量測數據</t>
    <phoneticPr fontId="2" type="noConversion"/>
  </si>
  <si>
    <t>轉速rpm</t>
    <phoneticPr fontId="2" type="noConversion"/>
  </si>
  <si>
    <t>流量 cms</t>
    <phoneticPr fontId="2" type="noConversion"/>
  </si>
  <si>
    <t>流量 cmh</t>
    <phoneticPr fontId="2" type="noConversion"/>
  </si>
  <si>
    <t>流量 cmm</t>
    <phoneticPr fontId="2" type="noConversion"/>
  </si>
  <si>
    <t>比速率Ns-cmm</t>
    <phoneticPr fontId="2" type="noConversion"/>
  </si>
  <si>
    <t>比速率Ns-cms</t>
    <phoneticPr fontId="2" type="noConversion"/>
  </si>
  <si>
    <t>ln(Q(cmh))</t>
    <phoneticPr fontId="2" type="noConversion"/>
  </si>
  <si>
    <t>ln(Ns(cms))</t>
    <phoneticPr fontId="2" type="noConversion"/>
  </si>
  <si>
    <t>耗電比(耗電功/流功)</t>
    <phoneticPr fontId="3" type="noConversion"/>
  </si>
  <si>
    <t>泵浦總效率%</t>
    <phoneticPr fontId="2" type="noConversion"/>
  </si>
  <si>
    <t>量測值
+
計算值</t>
    <phoneticPr fontId="2" type="noConversion"/>
  </si>
  <si>
    <t>耗電功kW</t>
    <phoneticPr fontId="2" type="noConversion"/>
  </si>
  <si>
    <t>年運轉時數hrs</t>
    <phoneticPr fontId="2" type="noConversion"/>
  </si>
  <si>
    <t>年節省電量kWh</t>
    <phoneticPr fontId="2" type="noConversion"/>
  </si>
  <si>
    <t>年節省排碳量ton</t>
    <phoneticPr fontId="2" type="noConversion"/>
  </si>
  <si>
    <t>每度電費NT/kWh</t>
    <phoneticPr fontId="2" type="noConversion"/>
  </si>
  <si>
    <t>年節省電費NT</t>
    <phoneticPr fontId="2" type="noConversion"/>
  </si>
  <si>
    <t>節電率%</t>
    <phoneticPr fontId="2" type="noConversion"/>
  </si>
  <si>
    <t>節能
+
省碳</t>
    <phoneticPr fontId="2" type="noConversion"/>
  </si>
  <si>
    <t>管壁厚mm</t>
    <phoneticPr fontId="2" type="noConversion"/>
  </si>
  <si>
    <t>ESOB-1450</t>
    <phoneticPr fontId="2" type="noConversion"/>
  </si>
  <si>
    <t>ESOB-2900</t>
    <phoneticPr fontId="2" type="noConversion"/>
  </si>
  <si>
    <t>ESCC-1450</t>
  </si>
  <si>
    <t>ESCC-1450</t>
    <phoneticPr fontId="2" type="noConversion"/>
  </si>
  <si>
    <t>ESCC-2900</t>
    <phoneticPr fontId="2" type="noConversion"/>
  </si>
  <si>
    <t>ESCCI-1450</t>
    <phoneticPr fontId="2" type="noConversion"/>
  </si>
  <si>
    <t>ESCCI-2900</t>
    <phoneticPr fontId="2" type="noConversion"/>
  </si>
  <si>
    <t>MS-1450</t>
    <phoneticPr fontId="2" type="noConversion"/>
  </si>
  <si>
    <t>MS-2900</t>
    <phoneticPr fontId="2" type="noConversion"/>
  </si>
  <si>
    <t>MSS-2900</t>
    <phoneticPr fontId="2" type="noConversion"/>
  </si>
  <si>
    <r>
      <t>靜位差 m, C</t>
    </r>
    <r>
      <rPr>
        <vertAlign val="subscript"/>
        <sz val="14"/>
        <color theme="1"/>
        <rFont val="標楷體"/>
        <family val="4"/>
        <charset val="136"/>
      </rPr>
      <t>0</t>
    </r>
    <phoneticPr fontId="2" type="noConversion"/>
  </si>
  <si>
    <r>
      <t>管路阻抗係數C</t>
    </r>
    <r>
      <rPr>
        <vertAlign val="subscript"/>
        <sz val="14"/>
        <color theme="1"/>
        <rFont val="標楷體"/>
        <family val="4"/>
        <charset val="136"/>
      </rPr>
      <t>1</t>
    </r>
    <phoneticPr fontId="2" type="noConversion"/>
  </si>
  <si>
    <t>公司資料</t>
    <phoneticPr fontId="2" type="noConversion"/>
  </si>
  <si>
    <t>量測公司名稱</t>
    <phoneticPr fontId="2" type="noConversion"/>
  </si>
  <si>
    <t>委託公司名稱</t>
    <phoneticPr fontId="2" type="noConversion"/>
  </si>
  <si>
    <t>委託公司聯絡人姓名</t>
    <phoneticPr fontId="2" type="noConversion"/>
  </si>
  <si>
    <t>委託公司聯絡人Email</t>
    <phoneticPr fontId="2" type="noConversion"/>
  </si>
  <si>
    <t>量測公司聯絡人姓名</t>
    <phoneticPr fontId="2" type="noConversion"/>
  </si>
  <si>
    <t>量測公司聯絡人Email</t>
    <phoneticPr fontId="2" type="noConversion"/>
  </si>
  <si>
    <t>量測環境溫度</t>
    <phoneticPr fontId="2" type="noConversion"/>
  </si>
  <si>
    <t>量測日期</t>
    <phoneticPr fontId="2" type="noConversion"/>
  </si>
  <si>
    <t>委託公司電話</t>
    <phoneticPr fontId="2" type="noConversion"/>
  </si>
  <si>
    <t>委託公司聯絡人部門</t>
    <phoneticPr fontId="2" type="noConversion"/>
  </si>
  <si>
    <t>委託公司地址</t>
    <phoneticPr fontId="2" type="noConversion"/>
  </si>
  <si>
    <t>量測公司電話</t>
    <phoneticPr fontId="2" type="noConversion"/>
  </si>
  <si>
    <t>量測公司聯絡人部門</t>
    <phoneticPr fontId="2" type="noConversion"/>
  </si>
  <si>
    <t>量測公司地址</t>
    <phoneticPr fontId="2" type="noConversion"/>
  </si>
  <si>
    <t>量測環境濕度</t>
    <phoneticPr fontId="2" type="noConversion"/>
  </si>
  <si>
    <t>其他描述</t>
    <phoneticPr fontId="2" type="noConversion"/>
  </si>
  <si>
    <t>電壓V</t>
    <phoneticPr fontId="2" type="noConversion"/>
  </si>
  <si>
    <t>電流A</t>
    <phoneticPr fontId="2" type="noConversion"/>
  </si>
  <si>
    <t>功因PF</t>
    <phoneticPr fontId="2" type="noConversion"/>
  </si>
  <si>
    <t>頻率Hz</t>
    <phoneticPr fontId="2" type="noConversion"/>
  </si>
  <si>
    <t>額定軸功kW</t>
    <phoneticPr fontId="2" type="noConversion"/>
  </si>
  <si>
    <t>馬達極數</t>
    <phoneticPr fontId="2" type="noConversion"/>
  </si>
  <si>
    <r>
      <t>泵浦入口截面積m</t>
    </r>
    <r>
      <rPr>
        <vertAlign val="superscript"/>
        <sz val="18"/>
        <color theme="1"/>
        <rFont val="標楷體"/>
        <family val="4"/>
        <charset val="136"/>
      </rPr>
      <t>2</t>
    </r>
    <phoneticPr fontId="2" type="noConversion"/>
  </si>
  <si>
    <r>
      <t>泵浦出口截面積m</t>
    </r>
    <r>
      <rPr>
        <vertAlign val="superscript"/>
        <sz val="18"/>
        <color theme="1"/>
        <rFont val="標楷體"/>
        <family val="4"/>
        <charset val="136"/>
      </rPr>
      <t>2</t>
    </r>
    <phoneticPr fontId="2" type="noConversion"/>
  </si>
  <si>
    <r>
      <t>管截面積mm</t>
    </r>
    <r>
      <rPr>
        <vertAlign val="superscript"/>
        <sz val="18"/>
        <color theme="1"/>
        <rFont val="標楷體"/>
        <family val="4"/>
        <charset val="136"/>
      </rPr>
      <t>2</t>
    </r>
    <phoneticPr fontId="2" type="noConversion"/>
  </si>
  <si>
    <t>管路外徑圓周長mm</t>
    <phoneticPr fontId="2" type="noConversion"/>
  </si>
  <si>
    <t>等效管外徑mm</t>
    <phoneticPr fontId="2" type="noConversion"/>
  </si>
  <si>
    <t>等效管內徑mm</t>
    <phoneticPr fontId="2" type="noConversion"/>
  </si>
  <si>
    <r>
      <t>流量m</t>
    </r>
    <r>
      <rPr>
        <vertAlign val="superscript"/>
        <sz val="18"/>
        <color theme="1"/>
        <rFont val="標楷體"/>
        <family val="4"/>
        <charset val="136"/>
      </rPr>
      <t>3</t>
    </r>
    <r>
      <rPr>
        <sz val="18"/>
        <color theme="1"/>
        <rFont val="標楷體"/>
        <family val="4"/>
        <charset val="136"/>
      </rPr>
      <t>/s</t>
    </r>
    <phoneticPr fontId="2" type="noConversion"/>
  </si>
  <si>
    <t>流量cmm</t>
    <phoneticPr fontId="2" type="noConversion"/>
  </si>
  <si>
    <t>出入口壓力差bar</t>
    <phoneticPr fontId="2" type="noConversion"/>
  </si>
  <si>
    <t>壓力錶高度差m</t>
    <phoneticPr fontId="2" type="noConversion"/>
  </si>
  <si>
    <r>
      <t>流量m</t>
    </r>
    <r>
      <rPr>
        <vertAlign val="superscript"/>
        <sz val="18"/>
        <color theme="1"/>
        <rFont val="標楷體"/>
        <family val="4"/>
        <charset val="136"/>
      </rPr>
      <t>3</t>
    </r>
    <r>
      <rPr>
        <sz val="18"/>
        <color theme="1"/>
        <rFont val="標楷體"/>
        <family val="4"/>
        <charset val="136"/>
      </rPr>
      <t>/hr</t>
    </r>
    <phoneticPr fontId="2" type="noConversion"/>
  </si>
  <si>
    <t>管外徑圓周長mm</t>
    <phoneticPr fontId="2" type="noConversion"/>
  </si>
  <si>
    <t>管路型態</t>
    <phoneticPr fontId="2" type="noConversion"/>
  </si>
  <si>
    <t>歐盟泵浦輸入軸功kW</t>
    <phoneticPr fontId="2" type="noConversion"/>
  </si>
  <si>
    <t>歐盟泵浦總能效%</t>
    <phoneticPr fontId="2" type="noConversion"/>
  </si>
  <si>
    <t>歐盟泵浦耗電功kW</t>
    <phoneticPr fontId="2" type="noConversion"/>
  </si>
  <si>
    <t>IE3馬達能效</t>
    <phoneticPr fontId="2" type="noConversion"/>
  </si>
  <si>
    <t>能效C值</t>
    <phoneticPr fontId="2" type="noConversion"/>
  </si>
  <si>
    <t>歐盟泵浦效率(MEI=0.4%)</t>
    <phoneticPr fontId="2" type="noConversion"/>
  </si>
  <si>
    <t>歐盟泵浦耗電比(耗電功/流功)</t>
    <phoneticPr fontId="3" type="noConversion"/>
  </si>
  <si>
    <t>電力排碳係數kg/kWh</t>
    <phoneticPr fontId="2" type="noConversion"/>
  </si>
  <si>
    <t>額定電壓V</t>
    <phoneticPr fontId="2" type="noConversion"/>
  </si>
  <si>
    <t>額定電流A</t>
    <phoneticPr fontId="2" type="noConversion"/>
  </si>
  <si>
    <t>泵入口流速m/s</t>
    <phoneticPr fontId="2" type="noConversion"/>
  </si>
  <si>
    <t>泵出口流速m/s</t>
    <phoneticPr fontId="2" type="noConversion"/>
  </si>
  <si>
    <t>閉迴路管路</t>
    <phoneticPr fontId="2" type="noConversion"/>
  </si>
  <si>
    <t>開迴路管路</t>
    <phoneticPr fontId="2" type="noConversion"/>
  </si>
  <si>
    <t>閉迴路</t>
    <phoneticPr fontId="2" type="noConversion"/>
  </si>
  <si>
    <t>機型</t>
    <phoneticPr fontId="2" type="noConversion"/>
  </si>
  <si>
    <t>C值</t>
    <phoneticPr fontId="2" type="noConversion"/>
  </si>
  <si>
    <t>能效計算</t>
    <phoneticPr fontId="2" type="noConversion"/>
  </si>
  <si>
    <t>泵浦型式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</si>
</sst>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176" formatCode="0.00_);[Red]\(0.00\)"/>
    <numFmt numFmtId="177" formatCode="0.00000000_);[Red]\(0.00000000\)"/>
    <numFmt numFmtId="178" formatCode="0.000_);[Red]\(0.000\)"/>
    <numFmt numFmtId="179" formatCode="0.0%"/>
    <numFmt numFmtId="180" formatCode="0.0_ "/>
    <numFmt numFmtId="181" formatCode="0.00_ "/>
    <numFmt numFmtId="182" formatCode="0_ "/>
    <numFmt numFmtId="183" formatCode="0_);[Red]\(0\)"/>
    <numFmt numFmtId="184" formatCode="0.0_);[Red]\(0.0\)"/>
    <numFmt numFmtId="185" formatCode="&quot;$&quot;#,##0.00_);[Red]\(&quot;$&quot;#,##0.00\)"/>
    <numFmt numFmtId="186" formatCode="0.00000_ "/>
    <numFmt numFmtId="187" formatCode="0.000000_);[Red]\(0.000000\)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b/>
      <sz val="18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vertAlign val="subscript"/>
      <sz val="14"/>
      <color theme="1"/>
      <name val="標楷體"/>
      <family val="4"/>
      <charset val="136"/>
    </font>
    <font>
      <vertAlign val="superscript"/>
      <sz val="18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7" fillId="0" borderId="13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10" fillId="0" borderId="15" xfId="0" applyFont="1" applyBorder="1" applyAlignment="1">
      <alignment vertical="top" wrapText="1"/>
    </xf>
    <xf numFmtId="0" fontId="9" fillId="0" borderId="12" xfId="0" applyFont="1" applyBorder="1" applyAlignment="1">
      <alignment horizontal="right" vertical="center"/>
    </xf>
    <xf numFmtId="0" fontId="9" fillId="0" borderId="12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0" xfId="0" applyFont="1">
      <alignment vertical="center"/>
    </xf>
    <xf numFmtId="0" fontId="10" fillId="0" borderId="13" xfId="0" applyFont="1" applyBorder="1" applyAlignment="1">
      <alignment vertical="top" wrapText="1"/>
    </xf>
    <xf numFmtId="0" fontId="9" fillId="2" borderId="12" xfId="0" applyFont="1" applyFill="1" applyBorder="1">
      <alignment vertical="center"/>
    </xf>
    <xf numFmtId="0" fontId="7" fillId="4" borderId="13" xfId="0" applyFont="1" applyFill="1" applyBorder="1" applyAlignment="1">
      <alignment horizontal="left" vertical="center" wrapText="1" readingOrder="1"/>
    </xf>
    <xf numFmtId="0" fontId="9" fillId="4" borderId="12" xfId="0" applyFont="1" applyFill="1" applyBorder="1">
      <alignment vertical="center"/>
    </xf>
    <xf numFmtId="0" fontId="9" fillId="4" borderId="19" xfId="0" applyFont="1" applyFill="1" applyBorder="1">
      <alignment vertical="center"/>
    </xf>
    <xf numFmtId="0" fontId="10" fillId="0" borderId="1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80" fontId="9" fillId="4" borderId="12" xfId="0" applyNumberFormat="1" applyFont="1" applyFill="1" applyBorder="1">
      <alignment vertical="center"/>
    </xf>
    <xf numFmtId="181" fontId="9" fillId="4" borderId="12" xfId="0" applyNumberFormat="1" applyFont="1" applyFill="1" applyBorder="1">
      <alignment vertical="center"/>
    </xf>
    <xf numFmtId="0" fontId="7" fillId="0" borderId="16" xfId="0" applyFont="1" applyBorder="1" applyAlignment="1">
      <alignment horizontal="left" vertical="center" wrapText="1" readingOrder="1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8" fontId="8" fillId="3" borderId="1" xfId="0" applyNumberFormat="1" applyFont="1" applyFill="1" applyBorder="1" applyAlignment="1">
      <alignment vertical="center"/>
    </xf>
    <xf numFmtId="178" fontId="8" fillId="3" borderId="5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vertical="center"/>
    </xf>
    <xf numFmtId="176" fontId="8" fillId="3" borderId="5" xfId="0" applyNumberFormat="1" applyFont="1" applyFill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178" fontId="8" fillId="0" borderId="5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10" fontId="8" fillId="0" borderId="5" xfId="0" applyNumberFormat="1" applyFont="1" applyBorder="1" applyAlignment="1">
      <alignment vertical="center"/>
    </xf>
    <xf numFmtId="181" fontId="14" fillId="0" borderId="1" xfId="0" applyNumberFormat="1" applyFont="1" applyBorder="1" applyAlignment="1">
      <alignment vertical="center"/>
    </xf>
    <xf numFmtId="181" fontId="14" fillId="0" borderId="5" xfId="0" applyNumberFormat="1" applyFont="1" applyBorder="1" applyAlignment="1">
      <alignment vertical="center"/>
    </xf>
    <xf numFmtId="10" fontId="14" fillId="0" borderId="1" xfId="0" applyNumberFormat="1" applyFont="1" applyBorder="1" applyAlignment="1">
      <alignment vertical="center"/>
    </xf>
    <xf numFmtId="10" fontId="14" fillId="0" borderId="5" xfId="0" applyNumberFormat="1" applyFont="1" applyBorder="1" applyAlignment="1">
      <alignment vertical="center"/>
    </xf>
    <xf numFmtId="181" fontId="13" fillId="0" borderId="1" xfId="0" applyNumberFormat="1" applyFont="1" applyBorder="1" applyAlignment="1">
      <alignment vertical="center"/>
    </xf>
    <xf numFmtId="181" fontId="13" fillId="0" borderId="5" xfId="0" applyNumberFormat="1" applyFont="1" applyBorder="1" applyAlignment="1">
      <alignment vertical="center"/>
    </xf>
    <xf numFmtId="10" fontId="13" fillId="0" borderId="1" xfId="0" applyNumberFormat="1" applyFont="1" applyBorder="1" applyAlignment="1">
      <alignment vertical="center"/>
    </xf>
    <xf numFmtId="10" fontId="13" fillId="0" borderId="5" xfId="0" applyNumberFormat="1" applyFont="1" applyBorder="1" applyAlignment="1">
      <alignment vertical="center"/>
    </xf>
    <xf numFmtId="181" fontId="13" fillId="0" borderId="2" xfId="0" applyNumberFormat="1" applyFont="1" applyBorder="1" applyAlignment="1">
      <alignment vertical="center"/>
    </xf>
    <xf numFmtId="181" fontId="13" fillId="0" borderId="9" xfId="0" applyNumberFormat="1" applyFont="1" applyBorder="1" applyAlignment="1">
      <alignment vertical="center"/>
    </xf>
    <xf numFmtId="179" fontId="15" fillId="0" borderId="7" xfId="0" applyNumberFormat="1" applyFont="1" applyBorder="1" applyAlignment="1">
      <alignment vertical="center"/>
    </xf>
    <xf numFmtId="179" fontId="15" fillId="0" borderId="6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181" fontId="15" fillId="0" borderId="1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176" fontId="14" fillId="0" borderId="5" xfId="0" applyNumberFormat="1" applyFont="1" applyBorder="1" applyAlignment="1">
      <alignment vertical="center"/>
    </xf>
    <xf numFmtId="183" fontId="13" fillId="0" borderId="1" xfId="0" applyNumberFormat="1" applyFont="1" applyBorder="1" applyAlignment="1">
      <alignment vertical="center"/>
    </xf>
    <xf numFmtId="183" fontId="13" fillId="0" borderId="5" xfId="0" applyNumberFormat="1" applyFont="1" applyBorder="1" applyAlignment="1">
      <alignment vertical="center"/>
    </xf>
    <xf numFmtId="178" fontId="13" fillId="0" borderId="1" xfId="0" applyNumberFormat="1" applyFont="1" applyBorder="1" applyAlignment="1">
      <alignment vertical="center"/>
    </xf>
    <xf numFmtId="178" fontId="13" fillId="0" borderId="5" xfId="0" applyNumberFormat="1" applyFont="1" applyBorder="1" applyAlignment="1">
      <alignment vertical="center"/>
    </xf>
    <xf numFmtId="185" fontId="16" fillId="0" borderId="2" xfId="9" applyNumberFormat="1" applyFont="1" applyBorder="1" applyAlignment="1">
      <alignment vertical="center"/>
    </xf>
    <xf numFmtId="185" fontId="16" fillId="0" borderId="9" xfId="9" applyNumberFormat="1" applyFont="1" applyBorder="1" applyAlignment="1">
      <alignment vertical="center"/>
    </xf>
    <xf numFmtId="176" fontId="9" fillId="2" borderId="12" xfId="0" applyNumberFormat="1" applyFont="1" applyFill="1" applyBorder="1">
      <alignment vertical="center"/>
    </xf>
    <xf numFmtId="176" fontId="9" fillId="4" borderId="12" xfId="0" applyNumberFormat="1" applyFont="1" applyFill="1" applyBorder="1">
      <alignment vertical="center"/>
    </xf>
    <xf numFmtId="184" fontId="9" fillId="4" borderId="12" xfId="0" applyNumberFormat="1" applyFont="1" applyFill="1" applyBorder="1">
      <alignment vertical="center"/>
    </xf>
    <xf numFmtId="178" fontId="9" fillId="4" borderId="12" xfId="0" applyNumberFormat="1" applyFont="1" applyFill="1" applyBorder="1">
      <alignment vertical="center"/>
    </xf>
    <xf numFmtId="183" fontId="9" fillId="0" borderId="12" xfId="0" applyNumberFormat="1" applyFont="1" applyFill="1" applyBorder="1">
      <alignment vertical="center"/>
    </xf>
    <xf numFmtId="184" fontId="9" fillId="0" borderId="12" xfId="0" applyNumberFormat="1" applyFont="1" applyFill="1" applyBorder="1">
      <alignment vertical="center"/>
    </xf>
    <xf numFmtId="176" fontId="9" fillId="0" borderId="12" xfId="0" applyNumberFormat="1" applyFont="1" applyFill="1" applyBorder="1">
      <alignment vertical="center"/>
    </xf>
    <xf numFmtId="182" fontId="9" fillId="4" borderId="12" xfId="0" applyNumberFormat="1" applyFont="1" applyFill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81" fontId="9" fillId="2" borderId="12" xfId="0" applyNumberFormat="1" applyFont="1" applyFill="1" applyBorder="1">
      <alignment vertical="center"/>
    </xf>
    <xf numFmtId="187" fontId="9" fillId="2" borderId="12" xfId="0" applyNumberFormat="1" applyFont="1" applyFill="1" applyBorder="1">
      <alignment vertical="center"/>
    </xf>
    <xf numFmtId="186" fontId="9" fillId="2" borderId="12" xfId="0" applyNumberFormat="1" applyFont="1" applyFill="1" applyBorder="1">
      <alignment vertical="center"/>
    </xf>
    <xf numFmtId="0" fontId="9" fillId="0" borderId="14" xfId="0" applyFont="1" applyBorder="1" applyAlignment="1">
      <alignment vertical="center"/>
    </xf>
    <xf numFmtId="0" fontId="9" fillId="5" borderId="19" xfId="0" applyFont="1" applyFill="1" applyBorder="1">
      <alignment vertical="center"/>
    </xf>
    <xf numFmtId="184" fontId="9" fillId="5" borderId="12" xfId="0" applyNumberFormat="1" applyFont="1" applyFill="1" applyBorder="1">
      <alignment vertical="center"/>
    </xf>
    <xf numFmtId="0" fontId="9" fillId="5" borderId="12" xfId="0" applyFont="1" applyFill="1" applyBorder="1">
      <alignment vertical="center"/>
    </xf>
    <xf numFmtId="183" fontId="9" fillId="5" borderId="12" xfId="0" applyNumberFormat="1" applyFont="1" applyFill="1" applyBorder="1">
      <alignment vertical="center"/>
    </xf>
    <xf numFmtId="0" fontId="7" fillId="4" borderId="27" xfId="0" applyFont="1" applyFill="1" applyBorder="1" applyAlignment="1">
      <alignment horizontal="left" vertical="center" wrapText="1" readingOrder="1"/>
    </xf>
    <xf numFmtId="0" fontId="7" fillId="4" borderId="27" xfId="0" applyFont="1" applyFill="1" applyBorder="1" applyAlignment="1">
      <alignment horizontal="center" vertical="center" wrapText="1" readingOrder="1"/>
    </xf>
    <xf numFmtId="0" fontId="7" fillId="0" borderId="27" xfId="0" applyFont="1" applyBorder="1" applyAlignment="1">
      <alignment horizontal="left" vertical="center" wrapText="1" readingOrder="1"/>
    </xf>
    <xf numFmtId="0" fontId="8" fillId="0" borderId="32" xfId="0" applyFont="1" applyBorder="1" applyAlignment="1">
      <alignment horizontal="center" vertical="center"/>
    </xf>
    <xf numFmtId="183" fontId="8" fillId="3" borderId="1" xfId="0" applyNumberFormat="1" applyFont="1" applyFill="1" applyBorder="1" applyAlignment="1">
      <alignment vertical="center"/>
    </xf>
    <xf numFmtId="183" fontId="8" fillId="3" borderId="5" xfId="0" applyNumberFormat="1" applyFont="1" applyFill="1" applyBorder="1" applyAlignment="1">
      <alignment vertical="center"/>
    </xf>
    <xf numFmtId="0" fontId="14" fillId="0" borderId="32" xfId="0" applyFont="1" applyBorder="1" applyAlignment="1">
      <alignment horizontal="center" vertical="center"/>
    </xf>
    <xf numFmtId="181" fontId="14" fillId="0" borderId="33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vertical="center"/>
    </xf>
    <xf numFmtId="181" fontId="14" fillId="0" borderId="1" xfId="0" applyNumberFormat="1" applyFont="1" applyBorder="1" applyAlignment="1">
      <alignment horizontal="center" vertical="center"/>
    </xf>
    <xf numFmtId="181" fontId="14" fillId="0" borderId="5" xfId="0" applyNumberFormat="1" applyFont="1" applyBorder="1" applyAlignment="1">
      <alignment horizontal="center" vertical="center"/>
    </xf>
    <xf numFmtId="181" fontId="14" fillId="0" borderId="33" xfId="0" applyNumberFormat="1" applyFont="1" applyBorder="1" applyAlignment="1">
      <alignment horizontal="center" vertical="center"/>
    </xf>
    <xf numFmtId="181" fontId="14" fillId="0" borderId="34" xfId="0" applyNumberFormat="1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6"/>
    <cellStyle name="一般 2 3" xfId="3"/>
    <cellStyle name="一般 3" xfId="4"/>
    <cellStyle name="一般 3 2" xfId="7"/>
    <cellStyle name="百分比 2" xfId="2"/>
    <cellStyle name="百分比 3 2" xfId="5"/>
    <cellStyle name="百分比 4" xfId="8"/>
    <cellStyle name="貨幣" xfId="9" builtinId="4"/>
  </cellStyles>
  <dxfs count="0"/>
  <tableStyles count="0" defaultTableStyle="TableStyleMedium2" defaultPivotStyle="PivotStyleLight16"/>
  <colors>
    <mruColors>
      <color rgb="FFFFCCFF"/>
      <color rgb="FFCCFFCC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customXml" Target="../ink/ink2.xml"/><Relationship Id="rId7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2.emf"/><Relationship Id="rId5" Type="http://schemas.openxmlformats.org/officeDocument/2006/relationships/image" Target="../media/image1.emf"/><Relationship Id="rId10" Type="http://schemas.openxmlformats.org/officeDocument/2006/relationships/image" Target="../media/image6.emf"/><Relationship Id="rId4" Type="http://schemas.openxmlformats.org/officeDocument/2006/relationships/image" Target="../media/image2.png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2160</xdr:colOff>
      <xdr:row>3</xdr:row>
      <xdr:rowOff>22320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7" name="墨迹 16">
              <a:extLst>
                <a:ext uri="{FF2B5EF4-FFF2-40B4-BE49-F238E27FC236}">
                  <a16:creationId xmlns:a16="http://schemas.microsoft.com/office/drawing/2014/main" id="{B7F49D83-195F-253C-87D5-ACEF3022CC4F}"/>
                </a:ext>
              </a:extLst>
            </xdr14:cNvPr>
            <xdr14:cNvContentPartPr/>
          </xdr14:nvContentPartPr>
          <xdr14:nvPr macro=""/>
          <xdr14:xfrm>
            <a:off x="5739480" y="792000"/>
            <a:ext cx="2160" cy="22320"/>
          </xdr14:xfrm>
        </xdr:contentPart>
      </mc:Choice>
      <mc:Fallback xmlns="">
        <xdr:pic>
          <xdr:nvPicPr>
            <xdr:cNvPr id="17" name="墨迹 16">
              <a:extLst>
                <a:ext uri="{FF2B5EF4-FFF2-40B4-BE49-F238E27FC236}">
                  <a16:creationId xmlns:a16="http://schemas.microsoft.com/office/drawing/2014/main" id="{B7F49D83-195F-253C-87D5-ACEF3022CC4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730480" y="783360"/>
              <a:ext cx="19800" cy="39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3240</xdr:colOff>
      <xdr:row>3</xdr:row>
      <xdr:rowOff>9720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2" name="墨迹 21">
              <a:extLst>
                <a:ext uri="{FF2B5EF4-FFF2-40B4-BE49-F238E27FC236}">
                  <a16:creationId xmlns:a16="http://schemas.microsoft.com/office/drawing/2014/main" id="{56EF9DE6-0185-642C-D6A7-791BBA1E3A24}"/>
                </a:ext>
              </a:extLst>
            </xdr14:cNvPr>
            <xdr14:cNvContentPartPr/>
          </xdr14:nvContentPartPr>
          <xdr14:nvPr macro=""/>
          <xdr14:xfrm>
            <a:off x="4858560" y="784440"/>
            <a:ext cx="3240" cy="9720"/>
          </xdr14:xfrm>
        </xdr:contentPart>
      </mc:Choice>
      <mc:Fallback xmlns="">
        <xdr:pic>
          <xdr:nvPicPr>
            <xdr:cNvPr id="22" name="墨迹 21">
              <a:extLst>
                <a:ext uri="{FF2B5EF4-FFF2-40B4-BE49-F238E27FC236}">
                  <a16:creationId xmlns:a16="http://schemas.microsoft.com/office/drawing/2014/main" id="{56EF9DE6-0185-642C-D6A7-791BBA1E3A2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849920" y="775800"/>
              <a:ext cx="20880" cy="273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144780</xdr:colOff>
      <xdr:row>7</xdr:row>
      <xdr:rowOff>53340</xdr:rowOff>
    </xdr:from>
    <xdr:to>
      <xdr:col>16</xdr:col>
      <xdr:colOff>170483</xdr:colOff>
      <xdr:row>10</xdr:row>
      <xdr:rowOff>181044</xdr:rowOff>
    </xdr:to>
    <xdr:grpSp>
      <xdr:nvGrpSpPr>
        <xdr:cNvPr id="8" name="组合 1">
          <a:extLst>
            <a:ext uri="{FF2B5EF4-FFF2-40B4-BE49-F238E27FC236}">
              <a16:creationId xmlns:a16="http://schemas.microsoft.com/office/drawing/2014/main" id="{B7F81F73-BA6C-4DA6-A239-AEC85B15A237}"/>
            </a:ext>
          </a:extLst>
        </xdr:cNvPr>
        <xdr:cNvGrpSpPr/>
      </xdr:nvGrpSpPr>
      <xdr:grpSpPr>
        <a:xfrm>
          <a:off x="8298180" y="1958340"/>
          <a:ext cx="6883703" cy="927804"/>
          <a:chOff x="2549072" y="20437929"/>
          <a:chExt cx="6053365" cy="430892"/>
        </a:xfrm>
      </xdr:grpSpPr>
      <xdr:pic>
        <xdr:nvPicPr>
          <xdr:cNvPr id="9" name="图片 2">
            <a:extLst>
              <a:ext uri="{FF2B5EF4-FFF2-40B4-BE49-F238E27FC236}">
                <a16:creationId xmlns:a16="http://schemas.microsoft.com/office/drawing/2014/main" id="{470B9D81-0419-F162-DED4-41EF157B26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图片 3">
            <a:extLst>
              <a:ext uri="{FF2B5EF4-FFF2-40B4-BE49-F238E27FC236}">
                <a16:creationId xmlns:a16="http://schemas.microsoft.com/office/drawing/2014/main" id="{0224E046-BD52-E0E0-F037-B6671424CE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</xdr:col>
      <xdr:colOff>114300</xdr:colOff>
      <xdr:row>16</xdr:row>
      <xdr:rowOff>259080</xdr:rowOff>
    </xdr:from>
    <xdr:to>
      <xdr:col>16</xdr:col>
      <xdr:colOff>583248</xdr:colOff>
      <xdr:row>21</xdr:row>
      <xdr:rowOff>213360</xdr:rowOff>
    </xdr:to>
    <xdr:grpSp>
      <xdr:nvGrpSpPr>
        <xdr:cNvPr id="16" name="组合 4">
          <a:extLst>
            <a:ext uri="{FF2B5EF4-FFF2-40B4-BE49-F238E27FC236}">
              <a16:creationId xmlns:a16="http://schemas.microsoft.com/office/drawing/2014/main" id="{93DAF271-2036-4080-A428-A88402309BE2}"/>
            </a:ext>
          </a:extLst>
        </xdr:cNvPr>
        <xdr:cNvGrpSpPr/>
      </xdr:nvGrpSpPr>
      <xdr:grpSpPr>
        <a:xfrm>
          <a:off x="8267700" y="4564380"/>
          <a:ext cx="7326948" cy="1287780"/>
          <a:chOff x="2267856" y="21865033"/>
          <a:chExt cx="6569786" cy="922395"/>
        </a:xfrm>
      </xdr:grpSpPr>
      <xdr:pic>
        <xdr:nvPicPr>
          <xdr:cNvPr id="18" name="图片 5">
            <a:extLst>
              <a:ext uri="{FF2B5EF4-FFF2-40B4-BE49-F238E27FC236}">
                <a16:creationId xmlns:a16="http://schemas.microsoft.com/office/drawing/2014/main" id="{3587CD65-1880-F604-644B-2F70EB26AC4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7858" y="22007285"/>
            <a:ext cx="6513285" cy="3442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图片 6">
            <a:extLst>
              <a:ext uri="{FF2B5EF4-FFF2-40B4-BE49-F238E27FC236}">
                <a16:creationId xmlns:a16="http://schemas.microsoft.com/office/drawing/2014/main" id="{2FBF18BF-73E9-0CE1-8717-E8A5EABF8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86003" y="21865033"/>
            <a:ext cx="6467928" cy="2329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图片 7">
            <a:extLst>
              <a:ext uri="{FF2B5EF4-FFF2-40B4-BE49-F238E27FC236}">
                <a16:creationId xmlns:a16="http://schemas.microsoft.com/office/drawing/2014/main" id="{5AB84AE5-DF8B-FE62-FCEE-C49A5B68D1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76928" y="22330316"/>
            <a:ext cx="6431643" cy="2303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图片 8">
            <a:extLst>
              <a:ext uri="{FF2B5EF4-FFF2-40B4-BE49-F238E27FC236}">
                <a16:creationId xmlns:a16="http://schemas.microsoft.com/office/drawing/2014/main" id="{34C527A8-EE58-8D9F-8076-54B7A8A81C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67856" y="22569714"/>
            <a:ext cx="6569786" cy="2177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04T13:43:33.1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 62 2018 0 0,'-5'-13'1569'0'0,"10"7"-1152"0"0,-5-1-65 0 0,0-6 353 0 0,0 5-353 0 0,0 7 161 0 0,0-2-193 0 0,0 2 0 0 0,0 0 129 0 0,0-2-65 0 0,0 1-256 0 0,0 1-448 0 0,0-1-1602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04T13:43:39.2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 4 1089 0 0,'-5'-3'1153'0'0,"2"6"-1377"0"0,3 2 576 0 0,0-4-224 0 0,0 10-288 0 0,3-5-128 0 0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37" zoomScale="70" zoomScaleNormal="70" workbookViewId="0">
      <selection activeCell="G42" sqref="G42"/>
    </sheetView>
  </sheetViews>
  <sheetFormatPr defaultRowHeight="16.5" x14ac:dyDescent="0.25"/>
  <cols>
    <col min="1" max="1" width="13.625" customWidth="1"/>
    <col min="2" max="2" width="34.875" customWidth="1"/>
    <col min="3" max="3" width="19.375" customWidth="1"/>
    <col min="4" max="4" width="35.25" customWidth="1"/>
    <col min="5" max="5" width="21.125" customWidth="1"/>
  </cols>
  <sheetData>
    <row r="1" spans="1:5" ht="23.45" customHeight="1" thickTop="1" thickBot="1" x14ac:dyDescent="0.3">
      <c r="A1" s="7"/>
      <c r="B1" s="103" t="s">
        <v>73</v>
      </c>
      <c r="C1" s="103"/>
      <c r="D1" s="103"/>
      <c r="E1" s="103"/>
    </row>
    <row r="2" spans="1:5" ht="29.45" customHeight="1" thickTop="1" thickBot="1" x14ac:dyDescent="0.3">
      <c r="A2" s="7"/>
      <c r="B2" s="2" t="s">
        <v>75</v>
      </c>
      <c r="C2" s="13"/>
      <c r="D2" s="2" t="s">
        <v>82</v>
      </c>
      <c r="E2" s="13"/>
    </row>
    <row r="3" spans="1:5" ht="29.45" customHeight="1" thickTop="1" thickBot="1" x14ac:dyDescent="0.3">
      <c r="A3" s="7"/>
      <c r="B3" s="2" t="s">
        <v>76</v>
      </c>
      <c r="C3" s="13"/>
      <c r="D3" s="2" t="s">
        <v>83</v>
      </c>
      <c r="E3" s="13"/>
    </row>
    <row r="4" spans="1:5" ht="29.45" customHeight="1" thickTop="1" thickBot="1" x14ac:dyDescent="0.3">
      <c r="A4" s="7"/>
      <c r="B4" s="2" t="s">
        <v>77</v>
      </c>
      <c r="C4" s="13"/>
      <c r="D4" s="2" t="s">
        <v>84</v>
      </c>
      <c r="E4" s="3"/>
    </row>
    <row r="5" spans="1:5" ht="29.45" customHeight="1" thickTop="1" thickBot="1" x14ac:dyDescent="0.3">
      <c r="A5" s="7"/>
      <c r="B5" s="2" t="s">
        <v>74</v>
      </c>
      <c r="C5" s="13" t="s">
        <v>31</v>
      </c>
      <c r="D5" s="2" t="s">
        <v>85</v>
      </c>
      <c r="E5" s="4"/>
    </row>
    <row r="6" spans="1:5" ht="29.45" customHeight="1" thickTop="1" thickBot="1" x14ac:dyDescent="0.3">
      <c r="A6" s="7"/>
      <c r="B6" s="2" t="s">
        <v>78</v>
      </c>
      <c r="C6" s="13" t="s">
        <v>25</v>
      </c>
      <c r="D6" s="2" t="s">
        <v>86</v>
      </c>
      <c r="E6" s="14"/>
    </row>
    <row r="7" spans="1:5" ht="29.45" customHeight="1" thickTop="1" thickBot="1" x14ac:dyDescent="0.3">
      <c r="A7" s="7"/>
      <c r="B7" s="2" t="s">
        <v>79</v>
      </c>
      <c r="C7" s="13" t="s">
        <v>36</v>
      </c>
      <c r="D7" s="2" t="s">
        <v>87</v>
      </c>
      <c r="E7" s="13"/>
    </row>
    <row r="8" spans="1:5" ht="29.45" customHeight="1" thickTop="1" thickBot="1" x14ac:dyDescent="0.3">
      <c r="A8" s="7"/>
      <c r="B8" s="17" t="s">
        <v>80</v>
      </c>
      <c r="C8" s="14"/>
      <c r="D8" s="17" t="s">
        <v>88</v>
      </c>
      <c r="E8" s="14"/>
    </row>
    <row r="9" spans="1:5" ht="29.45" customHeight="1" thickTop="1" thickBot="1" x14ac:dyDescent="0.3">
      <c r="A9" s="7"/>
      <c r="B9" s="17" t="s">
        <v>81</v>
      </c>
      <c r="C9" s="14"/>
      <c r="D9" s="17" t="s">
        <v>89</v>
      </c>
      <c r="E9" s="14"/>
    </row>
    <row r="10" spans="1:5" ht="29.45" customHeight="1" thickTop="1" thickBot="1" x14ac:dyDescent="0.3">
      <c r="A10" s="7"/>
      <c r="B10" s="2" t="s">
        <v>37</v>
      </c>
      <c r="C10" s="14" t="s">
        <v>38</v>
      </c>
      <c r="D10" s="2" t="s">
        <v>39</v>
      </c>
      <c r="E10" s="13" t="s">
        <v>123</v>
      </c>
    </row>
    <row r="11" spans="1:5" ht="27" thickTop="1" thickBot="1" x14ac:dyDescent="0.3">
      <c r="A11" s="7"/>
      <c r="B11" s="7"/>
      <c r="C11" s="7"/>
      <c r="D11" s="7"/>
      <c r="E11" s="7"/>
    </row>
    <row r="12" spans="1:5" ht="27" thickTop="1" thickBot="1" x14ac:dyDescent="0.3">
      <c r="A12" s="104" t="s">
        <v>13</v>
      </c>
      <c r="B12" s="105"/>
      <c r="C12" s="105"/>
      <c r="D12" s="105"/>
      <c r="E12" s="106"/>
    </row>
    <row r="13" spans="1:5" ht="27" thickTop="1" thickBot="1" x14ac:dyDescent="0.3">
      <c r="A13" s="107" t="s">
        <v>26</v>
      </c>
      <c r="B13" s="6" t="s">
        <v>117</v>
      </c>
      <c r="C13" s="5"/>
      <c r="D13" s="5" t="s">
        <v>118</v>
      </c>
      <c r="E13" s="5"/>
    </row>
    <row r="14" spans="1:5" ht="27" thickTop="1" thickBot="1" x14ac:dyDescent="0.3">
      <c r="A14" s="107"/>
      <c r="B14" s="6" t="s">
        <v>16</v>
      </c>
      <c r="C14" s="56">
        <v>92.4</v>
      </c>
      <c r="D14" s="5" t="s">
        <v>93</v>
      </c>
      <c r="E14" s="5"/>
    </row>
    <row r="15" spans="1:5" ht="27" thickTop="1" thickBot="1" x14ac:dyDescent="0.3">
      <c r="A15" s="107"/>
      <c r="B15" s="6" t="s">
        <v>95</v>
      </c>
      <c r="C15" s="5"/>
      <c r="D15" s="5" t="s">
        <v>94</v>
      </c>
      <c r="E15" s="55">
        <v>22</v>
      </c>
    </row>
    <row r="16" spans="1:5" ht="27" thickTop="1" thickBot="1" x14ac:dyDescent="0.3">
      <c r="A16" s="107"/>
      <c r="B16" s="74" t="s">
        <v>15</v>
      </c>
      <c r="C16" s="75">
        <v>22.8</v>
      </c>
      <c r="D16" s="76" t="s">
        <v>19</v>
      </c>
      <c r="E16" s="77">
        <v>2350</v>
      </c>
    </row>
    <row r="17" spans="1:5" ht="27" thickTop="1" thickBot="1" x14ac:dyDescent="0.3">
      <c r="A17" s="107"/>
      <c r="B17" s="6" t="s">
        <v>12</v>
      </c>
      <c r="C17" s="55">
        <v>30</v>
      </c>
      <c r="D17" s="5" t="s">
        <v>20</v>
      </c>
      <c r="E17" s="55">
        <v>1750</v>
      </c>
    </row>
    <row r="18" spans="1:5" ht="27" thickTop="1" thickBot="1" x14ac:dyDescent="0.3">
      <c r="A18" s="107"/>
      <c r="B18" s="6" t="s">
        <v>30</v>
      </c>
      <c r="C18" s="5"/>
      <c r="D18" s="5" t="s">
        <v>29</v>
      </c>
      <c r="E18" s="5"/>
    </row>
    <row r="19" spans="1:5" ht="27" thickTop="1" thickBot="1" x14ac:dyDescent="0.3">
      <c r="A19" s="108"/>
      <c r="B19" s="5" t="s">
        <v>35</v>
      </c>
      <c r="C19" s="55">
        <v>0</v>
      </c>
      <c r="D19" s="73" t="s">
        <v>14</v>
      </c>
      <c r="E19" s="56">
        <v>3.3</v>
      </c>
    </row>
    <row r="20" spans="1:5" ht="27" thickTop="1" thickBot="1" x14ac:dyDescent="0.3">
      <c r="A20" s="97" t="s">
        <v>0</v>
      </c>
      <c r="B20" s="11" t="s">
        <v>90</v>
      </c>
      <c r="C20" s="54"/>
      <c r="D20" s="11" t="s">
        <v>91</v>
      </c>
      <c r="E20" s="52"/>
    </row>
    <row r="21" spans="1:5" ht="27" thickTop="1" thickBot="1" x14ac:dyDescent="0.3">
      <c r="A21" s="98"/>
      <c r="B21" s="11" t="s">
        <v>92</v>
      </c>
      <c r="C21" s="54"/>
      <c r="D21" s="11" t="s">
        <v>21</v>
      </c>
      <c r="E21" s="54">
        <v>7.1929999999999996</v>
      </c>
    </row>
    <row r="22" spans="1:5" ht="27" thickTop="1" thickBot="1" x14ac:dyDescent="0.3">
      <c r="A22" s="98"/>
      <c r="B22" s="12" t="s">
        <v>17</v>
      </c>
      <c r="C22" s="15">
        <v>1.2</v>
      </c>
      <c r="D22" s="11" t="s">
        <v>22</v>
      </c>
      <c r="E22" s="52">
        <v>3.45</v>
      </c>
    </row>
    <row r="23" spans="1:5" ht="27" thickTop="1" thickBot="1" x14ac:dyDescent="0.3">
      <c r="A23" s="98"/>
      <c r="B23" s="12" t="s">
        <v>18</v>
      </c>
      <c r="C23" s="58">
        <v>0</v>
      </c>
      <c r="D23" s="11" t="s">
        <v>23</v>
      </c>
      <c r="E23" s="52">
        <v>0.35</v>
      </c>
    </row>
    <row r="24" spans="1:5" ht="27" thickTop="1" thickBot="1" x14ac:dyDescent="0.3">
      <c r="A24" s="98"/>
      <c r="B24" s="12" t="s">
        <v>99</v>
      </c>
      <c r="C24" s="52">
        <v>358.14</v>
      </c>
      <c r="D24" s="11" t="s">
        <v>60</v>
      </c>
      <c r="E24" s="15">
        <v>6.6</v>
      </c>
    </row>
    <row r="25" spans="1:5" ht="27" thickTop="1" thickBot="1" x14ac:dyDescent="0.3">
      <c r="A25" s="98"/>
      <c r="B25" s="12" t="s">
        <v>119</v>
      </c>
      <c r="C25" s="54">
        <v>2.1819999999999999</v>
      </c>
      <c r="D25" s="12" t="s">
        <v>120</v>
      </c>
      <c r="E25" s="54">
        <v>2.1819999999999999</v>
      </c>
    </row>
    <row r="26" spans="1:5" ht="27" thickTop="1" thickBot="1" x14ac:dyDescent="0.3">
      <c r="A26" s="94" t="s">
        <v>27</v>
      </c>
      <c r="B26" s="9" t="s">
        <v>104</v>
      </c>
      <c r="C26" s="51">
        <f>E22-C22</f>
        <v>2.25</v>
      </c>
      <c r="D26" s="9" t="s">
        <v>105</v>
      </c>
      <c r="E26" s="70">
        <f>E23-C23</f>
        <v>0.35</v>
      </c>
    </row>
    <row r="27" spans="1:5" ht="27" thickTop="1" thickBot="1" x14ac:dyDescent="0.3">
      <c r="A27" s="95"/>
      <c r="B27" s="9" t="s">
        <v>100</v>
      </c>
      <c r="C27" s="51">
        <f>C24/PI()</f>
        <v>113.99950263786279</v>
      </c>
      <c r="D27" s="9" t="s">
        <v>101</v>
      </c>
      <c r="E27" s="70">
        <f>C27-E24*2</f>
        <v>100.79950263786279</v>
      </c>
    </row>
    <row r="28" spans="1:5" ht="31.5" thickTop="1" thickBot="1" x14ac:dyDescent="0.3">
      <c r="A28" s="95"/>
      <c r="B28" s="9" t="s">
        <v>96</v>
      </c>
      <c r="C28" s="51"/>
      <c r="D28" s="9" t="s">
        <v>97</v>
      </c>
      <c r="E28" s="70"/>
    </row>
    <row r="29" spans="1:5" ht="31.5" thickTop="1" thickBot="1" x14ac:dyDescent="0.3">
      <c r="A29" s="95"/>
      <c r="B29" s="9" t="s">
        <v>98</v>
      </c>
      <c r="C29" s="51">
        <f>PI()/4*(E27)^2</f>
        <v>7980.0692446714147</v>
      </c>
      <c r="D29" s="9" t="s">
        <v>28</v>
      </c>
      <c r="E29" s="70">
        <f>C26*10+E26+(E25^2-C25^2)/2/9.8</f>
        <v>22.85</v>
      </c>
    </row>
    <row r="30" spans="1:5" ht="31.5" thickTop="1" thickBot="1" x14ac:dyDescent="0.3">
      <c r="A30" s="95"/>
      <c r="B30" s="9" t="s">
        <v>102</v>
      </c>
      <c r="C30" s="71">
        <f>C29*C25/1000000</f>
        <v>1.7412511091873029E-2</v>
      </c>
      <c r="D30" s="9" t="s">
        <v>103</v>
      </c>
      <c r="E30" s="72">
        <f>C30*60</f>
        <v>1.0447506655123817</v>
      </c>
    </row>
    <row r="31" spans="1:5" ht="31.5" thickTop="1" thickBot="1" x14ac:dyDescent="0.3">
      <c r="A31" s="96"/>
      <c r="B31" s="9" t="s">
        <v>34</v>
      </c>
      <c r="C31" s="70">
        <f>E30*1000</f>
        <v>1044.7506655123816</v>
      </c>
      <c r="D31" s="9" t="s">
        <v>106</v>
      </c>
      <c r="E31" s="70">
        <f>C31*60/1000</f>
        <v>62.685039930742896</v>
      </c>
    </row>
    <row r="32" spans="1:5" ht="27" thickTop="1" thickBot="1" x14ac:dyDescent="0.3">
      <c r="A32" s="7"/>
      <c r="B32" s="7"/>
      <c r="C32" s="7"/>
      <c r="D32" s="7"/>
      <c r="E32" s="7"/>
    </row>
    <row r="33" spans="1:5" ht="27" thickTop="1" thickBot="1" x14ac:dyDescent="0.3">
      <c r="A33" s="109" t="s">
        <v>24</v>
      </c>
      <c r="B33" s="109"/>
      <c r="C33" s="109"/>
      <c r="D33" s="109"/>
      <c r="E33" s="109"/>
    </row>
    <row r="34" spans="1:5" ht="27" thickTop="1" thickBot="1" x14ac:dyDescent="0.3">
      <c r="A34" s="110" t="s">
        <v>6</v>
      </c>
      <c r="B34" s="110"/>
      <c r="C34" s="110"/>
      <c r="D34" s="110"/>
      <c r="E34" s="56">
        <v>0.5</v>
      </c>
    </row>
    <row r="35" spans="1:5" ht="27" thickTop="1" thickBot="1" x14ac:dyDescent="0.3">
      <c r="A35" s="100" t="s">
        <v>26</v>
      </c>
      <c r="B35" s="6" t="s">
        <v>90</v>
      </c>
      <c r="C35" s="5"/>
      <c r="D35" s="5" t="s">
        <v>91</v>
      </c>
      <c r="E35" s="5"/>
    </row>
    <row r="36" spans="1:5" ht="27" thickTop="1" thickBot="1" x14ac:dyDescent="0.3">
      <c r="A36" s="101"/>
      <c r="B36" s="80" t="s">
        <v>8</v>
      </c>
      <c r="C36" s="55">
        <v>94</v>
      </c>
      <c r="D36" s="1" t="s">
        <v>5</v>
      </c>
      <c r="E36" s="57">
        <v>26.36</v>
      </c>
    </row>
    <row r="37" spans="1:5" ht="27" thickTop="1" thickBot="1" x14ac:dyDescent="0.3">
      <c r="A37" s="101"/>
      <c r="B37" s="6" t="s">
        <v>95</v>
      </c>
      <c r="C37" s="5"/>
      <c r="D37" s="5" t="s">
        <v>94</v>
      </c>
      <c r="E37" s="55">
        <v>30</v>
      </c>
    </row>
    <row r="38" spans="1:5" ht="27" thickTop="1" thickBot="1" x14ac:dyDescent="0.3">
      <c r="A38" s="101"/>
      <c r="B38" s="74" t="s">
        <v>15</v>
      </c>
      <c r="C38" s="74">
        <v>26.7</v>
      </c>
      <c r="D38" s="74" t="s">
        <v>19</v>
      </c>
      <c r="E38" s="74">
        <v>2697</v>
      </c>
    </row>
    <row r="39" spans="1:5" ht="27" thickTop="1" thickBot="1" x14ac:dyDescent="0.3">
      <c r="A39" s="101"/>
      <c r="B39" s="80" t="s">
        <v>12</v>
      </c>
      <c r="C39" s="55">
        <v>40</v>
      </c>
      <c r="D39" s="1" t="s">
        <v>7</v>
      </c>
      <c r="E39" s="55">
        <v>1750</v>
      </c>
    </row>
    <row r="40" spans="1:5" ht="27" thickTop="1" thickBot="1" x14ac:dyDescent="0.3">
      <c r="A40" s="102"/>
      <c r="B40" s="6" t="s">
        <v>30</v>
      </c>
      <c r="C40" s="5"/>
      <c r="D40" s="5" t="s">
        <v>29</v>
      </c>
      <c r="E40" s="8"/>
    </row>
    <row r="41" spans="1:5" ht="27" thickTop="1" thickBot="1" x14ac:dyDescent="0.3">
      <c r="A41" s="97" t="s">
        <v>0</v>
      </c>
      <c r="B41" s="11" t="s">
        <v>90</v>
      </c>
      <c r="C41" s="54"/>
      <c r="D41" s="11" t="s">
        <v>91</v>
      </c>
      <c r="E41" s="54"/>
    </row>
    <row r="42" spans="1:5" ht="27" thickTop="1" thickBot="1" x14ac:dyDescent="0.3">
      <c r="A42" s="98"/>
      <c r="B42" s="11" t="s">
        <v>92</v>
      </c>
      <c r="C42" s="54"/>
      <c r="D42" s="11" t="s">
        <v>21</v>
      </c>
      <c r="E42" s="54">
        <v>11.042999999999999</v>
      </c>
    </row>
    <row r="43" spans="1:5" ht="27" thickTop="1" thickBot="1" x14ac:dyDescent="0.3">
      <c r="A43" s="98"/>
      <c r="B43" s="78" t="s">
        <v>9</v>
      </c>
      <c r="C43" s="52">
        <v>0.27</v>
      </c>
      <c r="D43" s="10" t="s">
        <v>10</v>
      </c>
      <c r="E43" s="54">
        <v>1.7250000000000001</v>
      </c>
    </row>
    <row r="44" spans="1:5" ht="27" thickTop="1" thickBot="1" x14ac:dyDescent="0.3">
      <c r="A44" s="98"/>
      <c r="B44" s="79" t="s">
        <v>18</v>
      </c>
      <c r="C44" s="52">
        <v>0.16</v>
      </c>
      <c r="D44" s="10" t="s">
        <v>11</v>
      </c>
      <c r="E44" s="52">
        <v>0.16</v>
      </c>
    </row>
    <row r="45" spans="1:5" ht="27" thickTop="1" thickBot="1" x14ac:dyDescent="0.3">
      <c r="A45" s="98"/>
      <c r="B45" s="12" t="s">
        <v>107</v>
      </c>
      <c r="C45" s="53">
        <v>439.2</v>
      </c>
      <c r="D45" s="11" t="s">
        <v>60</v>
      </c>
      <c r="E45" s="16">
        <v>6.6</v>
      </c>
    </row>
    <row r="46" spans="1:5" ht="27" thickTop="1" thickBot="1" x14ac:dyDescent="0.3">
      <c r="A46" s="99"/>
      <c r="B46" s="12" t="s">
        <v>119</v>
      </c>
      <c r="C46" s="54">
        <v>2.1579999999999999</v>
      </c>
      <c r="D46" s="12" t="s">
        <v>120</v>
      </c>
      <c r="E46" s="54">
        <v>2.1579999999999999</v>
      </c>
    </row>
    <row r="47" spans="1:5" ht="27" thickTop="1" thickBot="1" x14ac:dyDescent="0.3">
      <c r="A47" s="94" t="s">
        <v>27</v>
      </c>
      <c r="B47" s="9" t="s">
        <v>104</v>
      </c>
      <c r="C47" s="51">
        <f>E43-C43</f>
        <v>1.4550000000000001</v>
      </c>
      <c r="D47" s="9" t="s">
        <v>105</v>
      </c>
      <c r="E47" s="70">
        <f>E44-C44</f>
        <v>0</v>
      </c>
    </row>
    <row r="48" spans="1:5" ht="27" thickTop="1" thickBot="1" x14ac:dyDescent="0.3">
      <c r="A48" s="95"/>
      <c r="B48" s="9" t="s">
        <v>100</v>
      </c>
      <c r="C48" s="51">
        <f>C45/PI()</f>
        <v>139.80170201192087</v>
      </c>
      <c r="D48" s="9" t="s">
        <v>101</v>
      </c>
      <c r="E48" s="70">
        <f>C48-E45*2</f>
        <v>126.60170201192086</v>
      </c>
    </row>
    <row r="49" spans="1:5" ht="31.5" thickTop="1" thickBot="1" x14ac:dyDescent="0.3">
      <c r="A49" s="95"/>
      <c r="B49" s="9" t="s">
        <v>96</v>
      </c>
      <c r="C49" s="51"/>
      <c r="D49" s="9" t="s">
        <v>97</v>
      </c>
      <c r="E49" s="70"/>
    </row>
    <row r="50" spans="1:5" ht="31.5" thickTop="1" thickBot="1" x14ac:dyDescent="0.3">
      <c r="A50" s="95"/>
      <c r="B50" s="9" t="s">
        <v>98</v>
      </c>
      <c r="C50" s="51">
        <f>PI()/4*(E48)^2</f>
        <v>12588.354656899282</v>
      </c>
      <c r="D50" s="9" t="s">
        <v>28</v>
      </c>
      <c r="E50" s="70">
        <f>C47*10+E47+(E46^2-C46^2)/2/9.8</f>
        <v>14.55</v>
      </c>
    </row>
    <row r="51" spans="1:5" ht="31.5" thickTop="1" thickBot="1" x14ac:dyDescent="0.3">
      <c r="A51" s="95"/>
      <c r="B51" s="9" t="s">
        <v>102</v>
      </c>
      <c r="C51" s="71">
        <f>C50*C46/1000000</f>
        <v>2.716566934958865E-2</v>
      </c>
      <c r="D51" s="9" t="s">
        <v>103</v>
      </c>
      <c r="E51" s="72">
        <f>C51*60</f>
        <v>1.629940160975319</v>
      </c>
    </row>
    <row r="52" spans="1:5" ht="30.95" customHeight="1" thickTop="1" thickBot="1" x14ac:dyDescent="0.3">
      <c r="A52" s="96"/>
      <c r="B52" s="9" t="s">
        <v>34</v>
      </c>
      <c r="C52" s="70">
        <f>E51*1000</f>
        <v>1629.940160975319</v>
      </c>
      <c r="D52" s="9" t="s">
        <v>106</v>
      </c>
      <c r="E52" s="70">
        <f>C52*60/1000</f>
        <v>97.796409658519138</v>
      </c>
    </row>
    <row r="53" spans="1:5" ht="17.25" thickTop="1" x14ac:dyDescent="0.25"/>
  </sheetData>
  <mergeCells count="10">
    <mergeCell ref="B1:E1"/>
    <mergeCell ref="A12:E12"/>
    <mergeCell ref="A13:A19"/>
    <mergeCell ref="A33:E33"/>
    <mergeCell ref="A34:D34"/>
    <mergeCell ref="A47:A52"/>
    <mergeCell ref="A41:A46"/>
    <mergeCell ref="A20:A25"/>
    <mergeCell ref="A26:A31"/>
    <mergeCell ref="A35:A40"/>
  </mergeCells>
  <phoneticPr fontId="2" type="noConversion"/>
  <pageMargins left="0.27559055118110237" right="0.23622047244094491" top="0.74803149606299213" bottom="0.74803149606299213" header="0.15748031496062992" footer="0.31496062992125984"/>
  <pageSetup paperSize="9" scale="79" fitToWidth="0" orientation="portrait" r:id="rId1"/>
  <headerFooter>
    <oddHeader xml:space="preserve">&amp;C&amp;"標楷體,粗體"&amp;20空調水側系統現場初勘2
泵浦線上量測 流量、揚程、泵浦能效、管路阻抗曲線-CMVP量測 </oddHeader>
    <oddFooter xml:space="preserve">&amp;R&amp;"標楷體,粗體"&amp;16泵浦媒體圖書館 www.uberty.com.tw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topLeftCell="A13" zoomScaleNormal="100" workbookViewId="0">
      <selection activeCell="D35" sqref="A29:D35"/>
    </sheetView>
  </sheetViews>
  <sheetFormatPr defaultRowHeight="16.5" x14ac:dyDescent="0.25"/>
  <cols>
    <col min="2" max="2" width="44.5" customWidth="1"/>
    <col min="3" max="3" width="16.875" customWidth="1"/>
    <col min="4" max="4" width="18.625" customWidth="1"/>
  </cols>
  <sheetData>
    <row r="1" spans="1:4" ht="24" customHeight="1" thickBot="1" x14ac:dyDescent="0.3">
      <c r="A1" s="114" t="s">
        <v>40</v>
      </c>
      <c r="B1" s="115"/>
      <c r="C1" s="115"/>
      <c r="D1" s="116"/>
    </row>
    <row r="2" spans="1:4" ht="21" customHeight="1" x14ac:dyDescent="0.25">
      <c r="A2" s="117" t="s">
        <v>51</v>
      </c>
      <c r="B2" s="59" t="s">
        <v>2</v>
      </c>
      <c r="C2" s="18" t="s">
        <v>32</v>
      </c>
      <c r="D2" s="19" t="s">
        <v>33</v>
      </c>
    </row>
    <row r="3" spans="1:4" ht="21" customHeight="1" x14ac:dyDescent="0.25">
      <c r="A3" s="118"/>
      <c r="B3" s="60" t="s">
        <v>41</v>
      </c>
      <c r="C3" s="82">
        <f>'1.1-基本資料與量測資料'!E17</f>
        <v>1750</v>
      </c>
      <c r="D3" s="83">
        <f>'1.1-基本資料與量測資料'!E39</f>
        <v>1750</v>
      </c>
    </row>
    <row r="4" spans="1:4" ht="21" customHeight="1" x14ac:dyDescent="0.25">
      <c r="A4" s="119"/>
      <c r="B4" s="60" t="s">
        <v>52</v>
      </c>
      <c r="C4" s="20">
        <f>'1.1-基本資料與量測資料'!E21</f>
        <v>7.1929999999999996</v>
      </c>
      <c r="D4" s="21">
        <f>'1.1-基本資料與量測資料'!E42</f>
        <v>11.042999999999999</v>
      </c>
    </row>
    <row r="5" spans="1:4" ht="21" customHeight="1" x14ac:dyDescent="0.25">
      <c r="A5" s="119"/>
      <c r="B5" s="60" t="s">
        <v>3</v>
      </c>
      <c r="C5" s="22">
        <f>'1.1-基本資料與量測資料'!C31</f>
        <v>1044.7506655123816</v>
      </c>
      <c r="D5" s="23">
        <f>'1.1-基本資料與量測資料'!C52</f>
        <v>1629.940160975319</v>
      </c>
    </row>
    <row r="6" spans="1:4" ht="21" customHeight="1" x14ac:dyDescent="0.25">
      <c r="A6" s="119"/>
      <c r="B6" s="60" t="s">
        <v>42</v>
      </c>
      <c r="C6" s="22">
        <f>C5/1000/60</f>
        <v>1.7412511091873025E-2</v>
      </c>
      <c r="D6" s="23">
        <f>D5/1000/60</f>
        <v>2.716566934958865E-2</v>
      </c>
    </row>
    <row r="7" spans="1:4" ht="21" customHeight="1" x14ac:dyDescent="0.25">
      <c r="A7" s="119"/>
      <c r="B7" s="60" t="s">
        <v>44</v>
      </c>
      <c r="C7" s="22">
        <f>C5/1000</f>
        <v>1.0447506655123815</v>
      </c>
      <c r="D7" s="23">
        <f>D5/1000</f>
        <v>1.629940160975319</v>
      </c>
    </row>
    <row r="8" spans="1:4" ht="21" customHeight="1" x14ac:dyDescent="0.25">
      <c r="A8" s="119"/>
      <c r="B8" s="63" t="s">
        <v>43</v>
      </c>
      <c r="C8" s="22">
        <f>C7*60</f>
        <v>62.685039930742889</v>
      </c>
      <c r="D8" s="23">
        <f>D7*60</f>
        <v>97.796409658519138</v>
      </c>
    </row>
    <row r="9" spans="1:4" ht="21" customHeight="1" x14ac:dyDescent="0.25">
      <c r="A9" s="119"/>
      <c r="B9" s="60" t="s">
        <v>4</v>
      </c>
      <c r="C9" s="22">
        <f>'1.1-基本資料與量測資料'!E29</f>
        <v>22.85</v>
      </c>
      <c r="D9" s="23">
        <f>'1.1-基本資料與量測資料'!E50</f>
        <v>14.55</v>
      </c>
    </row>
    <row r="10" spans="1:4" ht="21" customHeight="1" x14ac:dyDescent="0.25">
      <c r="A10" s="119"/>
      <c r="B10" s="60" t="s">
        <v>1</v>
      </c>
      <c r="C10" s="24">
        <f>1000*9.81*C6*C9/1000</f>
        <v>3.9031623675876199</v>
      </c>
      <c r="D10" s="25">
        <f>1000*9.81*D6*D9/1000</f>
        <v>3.8775053974482105</v>
      </c>
    </row>
    <row r="11" spans="1:4" ht="21" customHeight="1" x14ac:dyDescent="0.25">
      <c r="A11" s="119"/>
      <c r="B11" s="61" t="s">
        <v>49</v>
      </c>
      <c r="C11" s="24">
        <f>C4/C10</f>
        <v>1.842864662698029</v>
      </c>
      <c r="D11" s="25">
        <f>D4/D10</f>
        <v>2.8479650878803175</v>
      </c>
    </row>
    <row r="12" spans="1:4" ht="21" customHeight="1" x14ac:dyDescent="0.25">
      <c r="A12" s="119"/>
      <c r="B12" s="61" t="s">
        <v>50</v>
      </c>
      <c r="C12" s="26">
        <f>C10/C4</f>
        <v>0.54263344468060892</v>
      </c>
      <c r="D12" s="27">
        <f>D10/D4</f>
        <v>0.35112789979608899</v>
      </c>
    </row>
    <row r="13" spans="1:4" ht="21" customHeight="1" x14ac:dyDescent="0.25">
      <c r="A13" s="119"/>
      <c r="B13" s="60" t="s">
        <v>45</v>
      </c>
      <c r="C13" s="28">
        <f>C3*C7^0.5/C9^0.75</f>
        <v>171.15111138534016</v>
      </c>
      <c r="D13" s="29">
        <f>D3*D7^0.5/D9^0.75</f>
        <v>299.90011620912185</v>
      </c>
    </row>
    <row r="14" spans="1:4" ht="21" customHeight="1" x14ac:dyDescent="0.25">
      <c r="A14" s="119"/>
      <c r="B14" s="81" t="s">
        <v>108</v>
      </c>
      <c r="C14" s="92" t="s">
        <v>121</v>
      </c>
      <c r="D14" s="93" t="s">
        <v>122</v>
      </c>
    </row>
    <row r="15" spans="1:4" ht="21" customHeight="1" x14ac:dyDescent="0.25">
      <c r="A15" s="119"/>
      <c r="B15" s="81" t="s">
        <v>71</v>
      </c>
      <c r="C15" s="88">
        <v>0</v>
      </c>
      <c r="D15" s="89">
        <v>3</v>
      </c>
    </row>
    <row r="16" spans="1:4" ht="21" customHeight="1" thickBot="1" x14ac:dyDescent="0.3">
      <c r="A16" s="120"/>
      <c r="B16" s="62" t="s">
        <v>72</v>
      </c>
      <c r="C16" s="86">
        <f>(C9-C15)/C5^2</f>
        <v>2.0934417997610273E-5</v>
      </c>
      <c r="D16" s="87">
        <f>(D9-D15)/D5^2</f>
        <v>4.3474907117851447E-6</v>
      </c>
    </row>
    <row r="17" spans="1:4" ht="21" customHeight="1" x14ac:dyDescent="0.25">
      <c r="A17" s="111" t="s">
        <v>126</v>
      </c>
      <c r="B17" s="84" t="s">
        <v>46</v>
      </c>
      <c r="C17" s="85">
        <f>C3*C6^0.5/C9^0.75</f>
        <v>22.095513469343768</v>
      </c>
      <c r="D17" s="85">
        <f>D3*D6^0.5/D9^0.75</f>
        <v>38.716938520119932</v>
      </c>
    </row>
    <row r="18" spans="1:4" ht="21" customHeight="1" x14ac:dyDescent="0.25">
      <c r="A18" s="111"/>
      <c r="B18" s="63" t="s">
        <v>47</v>
      </c>
      <c r="C18" s="28">
        <f>LN(C8)</f>
        <v>4.1381228215741332</v>
      </c>
      <c r="D18" s="28">
        <f>LN(D8)</f>
        <v>4.5828878653088179</v>
      </c>
    </row>
    <row r="19" spans="1:4" ht="21" customHeight="1" x14ac:dyDescent="0.25">
      <c r="A19" s="111"/>
      <c r="B19" s="63" t="s">
        <v>48</v>
      </c>
      <c r="C19" s="28">
        <f>LN(C17)</f>
        <v>3.0953745774773656</v>
      </c>
      <c r="D19" s="29">
        <f>LN(D17)</f>
        <v>3.6562771921367418</v>
      </c>
    </row>
    <row r="20" spans="1:4" ht="21" customHeight="1" x14ac:dyDescent="0.25">
      <c r="A20" s="111"/>
      <c r="B20" s="64" t="s">
        <v>127</v>
      </c>
      <c r="C20" s="90" t="s">
        <v>63</v>
      </c>
      <c r="D20" s="91" t="s">
        <v>63</v>
      </c>
    </row>
    <row r="21" spans="1:4" ht="21" customHeight="1" x14ac:dyDescent="0.25">
      <c r="A21" s="111"/>
      <c r="B21" s="63" t="s">
        <v>113</v>
      </c>
      <c r="C21" s="43">
        <f>IFERROR(VLOOKUP($C$20,選單!$A$2:$B$10,2,0),"")</f>
        <v>128.46</v>
      </c>
      <c r="D21" s="44">
        <f>IFERROR(VLOOKUP($D$20,選單!$A$2:$B$10,2,0),"")</f>
        <v>128.46</v>
      </c>
    </row>
    <row r="22" spans="1:4" ht="21" customHeight="1" x14ac:dyDescent="0.25">
      <c r="A22" s="111"/>
      <c r="B22" s="63" t="s">
        <v>114</v>
      </c>
      <c r="C22" s="30">
        <f>(88.59*C19+13.46*C18-11.48*C19^2-0.85*C18^2-0.38*C18*C19-C21)/100</f>
        <v>0.72041653779322024</v>
      </c>
      <c r="D22" s="31">
        <f>(88.59*D19+13.46*D18-11.48*D19^2-0.85*D18^2-0.38*D18*D19-D21)/100</f>
        <v>0.79446631769568876</v>
      </c>
    </row>
    <row r="23" spans="1:4" ht="21" customHeight="1" x14ac:dyDescent="0.25">
      <c r="A23" s="111"/>
      <c r="B23" s="63" t="s">
        <v>109</v>
      </c>
      <c r="C23" s="32">
        <f>C10/C22</f>
        <v>5.4179244406906397</v>
      </c>
      <c r="D23" s="33">
        <f>D10/D22</f>
        <v>4.8806416472063008</v>
      </c>
    </row>
    <row r="24" spans="1:4" ht="21" customHeight="1" x14ac:dyDescent="0.25">
      <c r="A24" s="111"/>
      <c r="B24" s="63" t="s">
        <v>112</v>
      </c>
      <c r="C24" s="34">
        <v>0.91700000000000004</v>
      </c>
      <c r="D24" s="35">
        <v>0.91700000000000004</v>
      </c>
    </row>
    <row r="25" spans="1:4" ht="21" customHeight="1" x14ac:dyDescent="0.25">
      <c r="A25" s="111"/>
      <c r="B25" s="63" t="s">
        <v>110</v>
      </c>
      <c r="C25" s="34">
        <f>C22*C24</f>
        <v>0.66062196515638294</v>
      </c>
      <c r="D25" s="35">
        <f>D22*D24</f>
        <v>0.72852561332694665</v>
      </c>
    </row>
    <row r="26" spans="1:4" ht="21" customHeight="1" x14ac:dyDescent="0.25">
      <c r="A26" s="111"/>
      <c r="B26" s="63" t="s">
        <v>109</v>
      </c>
      <c r="C26" s="32">
        <f>C10/C22</f>
        <v>5.4179244406906397</v>
      </c>
      <c r="D26" s="33">
        <f>D10/D22</f>
        <v>4.8806416472063008</v>
      </c>
    </row>
    <row r="27" spans="1:4" ht="21" customHeight="1" x14ac:dyDescent="0.25">
      <c r="A27" s="111"/>
      <c r="B27" s="63" t="s">
        <v>111</v>
      </c>
      <c r="C27" s="32">
        <f>C26/C24</f>
        <v>5.9083145481904467</v>
      </c>
      <c r="D27" s="33">
        <f>D26/D24</f>
        <v>5.3224009238890959</v>
      </c>
    </row>
    <row r="28" spans="1:4" ht="21" customHeight="1" thickBot="1" x14ac:dyDescent="0.3">
      <c r="A28" s="112"/>
      <c r="B28" s="65" t="s">
        <v>115</v>
      </c>
      <c r="C28" s="36">
        <f>C27/C10</f>
        <v>1.5137250239072495</v>
      </c>
      <c r="D28" s="37">
        <f>D27/D10</f>
        <v>1.3726353359538255</v>
      </c>
    </row>
    <row r="29" spans="1:4" ht="21" customHeight="1" x14ac:dyDescent="0.25">
      <c r="A29" s="113" t="s">
        <v>59</v>
      </c>
      <c r="B29" s="66" t="s">
        <v>58</v>
      </c>
      <c r="C29" s="38">
        <f>(C11-C28)/C11</f>
        <v>0.17860217597797204</v>
      </c>
      <c r="D29" s="39">
        <f>(D11-D28)/D11</f>
        <v>0.51802943730063422</v>
      </c>
    </row>
    <row r="30" spans="1:4" ht="21" customHeight="1" x14ac:dyDescent="0.25">
      <c r="A30" s="111"/>
      <c r="B30" s="63" t="s">
        <v>53</v>
      </c>
      <c r="C30" s="45">
        <v>8800</v>
      </c>
      <c r="D30" s="46">
        <v>8800</v>
      </c>
    </row>
    <row r="31" spans="1:4" ht="21" customHeight="1" x14ac:dyDescent="0.25">
      <c r="A31" s="111"/>
      <c r="B31" s="63" t="s">
        <v>54</v>
      </c>
      <c r="C31" s="40">
        <f>C30*(C4-C27)</f>
        <v>11305.231975924065</v>
      </c>
      <c r="D31" s="41">
        <f>D30*(D4-D27)</f>
        <v>50341.271869775948</v>
      </c>
    </row>
    <row r="32" spans="1:4" ht="21" customHeight="1" x14ac:dyDescent="0.25">
      <c r="A32" s="111"/>
      <c r="B32" s="67" t="s">
        <v>116</v>
      </c>
      <c r="C32" s="47">
        <v>0.50900000000000001</v>
      </c>
      <c r="D32" s="48">
        <v>0.50900000000000001</v>
      </c>
    </row>
    <row r="33" spans="1:4" ht="21" customHeight="1" x14ac:dyDescent="0.25">
      <c r="A33" s="111"/>
      <c r="B33" s="68" t="s">
        <v>55</v>
      </c>
      <c r="C33" s="42">
        <f>C31*C32/1000</f>
        <v>5.7543630757453492</v>
      </c>
      <c r="D33" s="42">
        <f>D31*D32/1000</f>
        <v>25.62370738171596</v>
      </c>
    </row>
    <row r="34" spans="1:4" ht="21" customHeight="1" x14ac:dyDescent="0.25">
      <c r="A34" s="111"/>
      <c r="B34" s="68" t="s">
        <v>56</v>
      </c>
      <c r="C34" s="45">
        <v>3</v>
      </c>
      <c r="D34" s="46">
        <v>3</v>
      </c>
    </row>
    <row r="35" spans="1:4" ht="21" customHeight="1" thickBot="1" x14ac:dyDescent="0.3">
      <c r="A35" s="112"/>
      <c r="B35" s="69" t="s">
        <v>57</v>
      </c>
      <c r="C35" s="49">
        <f>C34*C31</f>
        <v>33915.695927772198</v>
      </c>
      <c r="D35" s="50">
        <f>D34*D31</f>
        <v>151023.81560932784</v>
      </c>
    </row>
  </sheetData>
  <mergeCells count="4">
    <mergeCell ref="A17:A28"/>
    <mergeCell ref="A29:A35"/>
    <mergeCell ref="A1:D1"/>
    <mergeCell ref="A2:A16"/>
  </mergeCells>
  <phoneticPr fontId="2" type="noConversion"/>
  <pageMargins left="0.59055118110236227" right="0.31496062992125984" top="1.0900000000000001" bottom="0.12" header="0.31496062992125984" footer="0.17"/>
  <pageSetup paperSize="9" fitToWidth="0" orientation="portrait" horizontalDpi="1200" verticalDpi="1200" r:id="rId1"/>
  <headerFooter>
    <oddHeader xml:space="preserve">&amp;C&amp;"標楷體,粗體"&amp;16空調水側系統現場初勘2
泵浦線上量測 流量、揚程、泵浦能效、管路阻抗曲線-CMVP量測 </oddHeader>
    <oddFooter xml:space="preserve">&amp;R&amp;"標楷體,粗體"&amp;14泵浦媒體圖書館 www.uberty.com.tw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選單!$A$2:$A$11</xm:f>
          </x14:formula1>
          <xm:sqref>C20:D20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0"/>
    </sheetView>
  </sheetViews>
  <sheetFormatPr defaultRowHeight="16.5" x14ac:dyDescent="0.25"/>
  <cols>
    <col min="1" max="1" width="11.625" bestFit="1" customWidth="1"/>
  </cols>
  <sheetData>
    <row r="1" spans="1:2" x14ac:dyDescent="0.25">
      <c r="A1" t="s">
        <v>124</v>
      </c>
      <c r="B1" t="s">
        <v>125</v>
      </c>
    </row>
    <row r="2" spans="1:2" x14ac:dyDescent="0.25">
      <c r="A2" t="s">
        <v>61</v>
      </c>
      <c r="B2">
        <v>128.07</v>
      </c>
    </row>
    <row r="3" spans="1:2" x14ac:dyDescent="0.25">
      <c r="A3" t="s">
        <v>62</v>
      </c>
      <c r="B3">
        <v>130.27000000000001</v>
      </c>
    </row>
    <row r="4" spans="1:2" x14ac:dyDescent="0.25">
      <c r="A4" t="s">
        <v>64</v>
      </c>
      <c r="B4">
        <v>128.46</v>
      </c>
    </row>
    <row r="5" spans="1:2" x14ac:dyDescent="0.25">
      <c r="A5" t="s">
        <v>65</v>
      </c>
      <c r="B5">
        <v>130.77000000000001</v>
      </c>
    </row>
    <row r="6" spans="1:2" x14ac:dyDescent="0.25">
      <c r="A6" t="s">
        <v>66</v>
      </c>
      <c r="B6">
        <v>132.30000000000001</v>
      </c>
    </row>
    <row r="7" spans="1:2" x14ac:dyDescent="0.25">
      <c r="A7" t="s">
        <v>67</v>
      </c>
      <c r="B7">
        <v>133.69</v>
      </c>
    </row>
    <row r="8" spans="1:2" x14ac:dyDescent="0.25">
      <c r="A8" t="s">
        <v>68</v>
      </c>
      <c r="B8">
        <v>130.38</v>
      </c>
    </row>
    <row r="9" spans="1:2" x14ac:dyDescent="0.25">
      <c r="A9" t="s">
        <v>69</v>
      </c>
      <c r="B9">
        <v>133.94999999999999</v>
      </c>
    </row>
    <row r="10" spans="1:2" x14ac:dyDescent="0.25">
      <c r="A10" t="s">
        <v>70</v>
      </c>
      <c r="B10">
        <v>128.79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1.1-基本資料與量測資料</vt:lpstr>
      <vt:lpstr>1.2-系統量測數據計算</vt:lpstr>
      <vt:lpstr>選單</vt:lpstr>
      <vt:lpstr>'1.1-基本資料與量測資料'!Print_Area</vt:lpstr>
      <vt:lpstr>'1.2-系統量測數據計算'!Print_Area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SOHO-</dc:creator>
  <cp:lastModifiedBy>Genuine</cp:lastModifiedBy>
  <cp:lastPrinted>2023-12-01T07:15:44Z</cp:lastPrinted>
  <dcterms:created xsi:type="dcterms:W3CDTF">2021-09-06T03:13:59Z</dcterms:created>
  <dcterms:modified xsi:type="dcterms:W3CDTF">2024-08-24T23:50:27Z</dcterms:modified>
</cp:coreProperties>
</file>